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NavokatDoc\Dokumenter\468213\300084\Værktøj til værdifastsættelse\"/>
    </mc:Choice>
  </mc:AlternateContent>
  <xr:revisionPtr revIDLastSave="0" documentId="13_ncr:1_{6C3B3F86-DBBE-4986-B9B1-C8D197C350E7}" xr6:coauthVersionLast="47" xr6:coauthVersionMax="47" xr10:uidLastSave="{00000000-0000-0000-0000-000000000000}"/>
  <workbookProtection workbookAlgorithmName="SHA-512" workbookHashValue="UH239+iaGFtWWnt+aee2bYs30dndwFy7aQjuKjyA64nsxiwSPCOOT7/Nc6e/ecMMZgur0w+hfzDo9vXkXbztgw==" workbookSaltValue="ywVJwPGqJT7mOnQq1hzbUA==" workbookSpinCount="100000" lockStructure="1"/>
  <bookViews>
    <workbookView xWindow="28680" yWindow="-120" windowWidth="29040" windowHeight="15840" xr2:uid="{00000000-000D-0000-FFFF-FFFF00000000}"/>
  </bookViews>
  <sheets>
    <sheet name="Beregner" sheetId="1" r:id="rId1"/>
    <sheet name="Ark1" sheetId="3" r:id="rId2"/>
    <sheet name="Opslag" sheetId="2" state="hidden" r:id="rId3"/>
  </sheets>
  <definedNames>
    <definedName name="Handelspris_metode">Opslag!$C$1:$C$3</definedName>
    <definedName name="Ja_Nej">Opslag!$I$1:$I$2</definedName>
    <definedName name="Stand">Opslag!$E$1:$E$3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9" i="1" l="1"/>
  <c r="D127" i="1"/>
  <c r="C122" i="1" l="1"/>
  <c r="D128" i="1" s="1"/>
  <c r="C21" i="1" l="1"/>
  <c r="D125" i="1" l="1"/>
  <c r="D131" i="1"/>
  <c r="D130" i="1"/>
  <c r="D124" i="1"/>
  <c r="D126" i="1"/>
  <c r="C31" i="1"/>
  <c r="D33" i="1" s="1"/>
  <c r="D136" i="1" l="1"/>
  <c r="C143" i="1"/>
  <c r="D38" i="1"/>
  <c r="C100" i="1"/>
  <c r="D58" i="1" l="1"/>
  <c r="D79" i="1"/>
  <c r="D77" i="1"/>
  <c r="D78" i="1" s="1"/>
  <c r="D56" i="1"/>
  <c r="D57" i="1" s="1"/>
  <c r="C102" i="1"/>
  <c r="C104" i="1" s="1"/>
  <c r="C60" i="1" l="1"/>
  <c r="C81" i="1"/>
  <c r="C85" i="1" l="1"/>
  <c r="C64" i="1"/>
  <c r="D62" i="1" s="1"/>
  <c r="D63" i="1" s="1"/>
  <c r="C106" i="1" l="1"/>
  <c r="D43" i="1"/>
  <c r="D83" i="1"/>
  <c r="C107" i="1" l="1"/>
  <c r="C108" i="1" s="1"/>
  <c r="C110" i="1" s="1"/>
  <c r="D84" i="1"/>
  <c r="D81" i="1"/>
  <c r="C87" i="1" s="1"/>
  <c r="D82" i="1" l="1"/>
  <c r="C89" i="1" s="1"/>
  <c r="C91" i="1" s="1"/>
  <c r="D60" i="1"/>
  <c r="D145" i="1"/>
  <c r="D61" i="1" l="1"/>
  <c r="C66" i="1"/>
  <c r="C92" i="1"/>
  <c r="C93" i="1" s="1"/>
  <c r="C68" i="1" l="1"/>
  <c r="C70" i="1" s="1"/>
  <c r="C71" i="1" s="1"/>
  <c r="C72" i="1" s="1"/>
  <c r="C74" i="1" s="1"/>
  <c r="C95" i="1"/>
  <c r="D112" i="1" l="1"/>
  <c r="D150" i="1" s="1"/>
</calcChain>
</file>

<file path=xl/sharedStrings.xml><?xml version="1.0" encoding="utf-8"?>
<sst xmlns="http://schemas.openxmlformats.org/spreadsheetml/2006/main" count="107" uniqueCount="79">
  <si>
    <t>Mærke</t>
  </si>
  <si>
    <t xml:space="preserve">Model </t>
  </si>
  <si>
    <t>Stelnummer</t>
  </si>
  <si>
    <t>Første registreringsdato</t>
  </si>
  <si>
    <t>Drivkraft</t>
  </si>
  <si>
    <t>Oplysninger om køretøjet</t>
  </si>
  <si>
    <t>Km/l</t>
  </si>
  <si>
    <t xml:space="preserve">Annoncefradrag </t>
  </si>
  <si>
    <t xml:space="preserve">Hvis køretøjet er over 2 år </t>
  </si>
  <si>
    <t xml:space="preserve">Hvis køretøjet er over 1 år </t>
  </si>
  <si>
    <t xml:space="preserve">Hvis køretøjet er under 1 år </t>
  </si>
  <si>
    <t xml:space="preserve">Hvis køretøjet er over 3 år </t>
  </si>
  <si>
    <t>Dato for vurdering</t>
  </si>
  <si>
    <t>Bilens alder</t>
  </si>
  <si>
    <t>måneder</t>
  </si>
  <si>
    <t>Regulering for kilometerstand</t>
  </si>
  <si>
    <t>Kilometerstand</t>
  </si>
  <si>
    <t>1.-4. år</t>
  </si>
  <si>
    <t>Fra 5. år</t>
  </si>
  <si>
    <t>Udstyr</t>
  </si>
  <si>
    <t>Ekstraudstyr</t>
  </si>
  <si>
    <t xml:space="preserve">Regulering for ekstraudstyr </t>
  </si>
  <si>
    <t>Værdifastsættelse af brugte personbiler</t>
  </si>
  <si>
    <t>KM-stand:</t>
  </si>
  <si>
    <t>Udstyr:</t>
  </si>
  <si>
    <t>Fradrag for særlig anvendelse:</t>
  </si>
  <si>
    <t>Nedslag for skiftende chauffører</t>
  </si>
  <si>
    <t>km.</t>
  </si>
  <si>
    <t xml:space="preserve">Under middel - Fradrag max. 20.000 kr. </t>
  </si>
  <si>
    <t>Middel stand - Fradrag max. 8.000 kr.</t>
  </si>
  <si>
    <t>Regulering for stand</t>
  </si>
  <si>
    <t xml:space="preserve">Regulering for kilometerstand </t>
  </si>
  <si>
    <t>50% af rest</t>
  </si>
  <si>
    <t>Oprindelig nypris inkl. afgiftsberigtiget ekstraudstyr</t>
  </si>
  <si>
    <t>Handelspris</t>
  </si>
  <si>
    <t>Handelspris efter evt. annoncefradrag</t>
  </si>
  <si>
    <t>Gennemsnitlig kilometerstand  på annoncebiler</t>
  </si>
  <si>
    <t xml:space="preserve">Over middel - Tillæg max. 20.000 kr. </t>
  </si>
  <si>
    <t>Normal kilometerstand (benzin)</t>
  </si>
  <si>
    <t>Normal kilometerstand (diesel)</t>
  </si>
  <si>
    <t>Kilometerafvigelse ift. annoncer</t>
  </si>
  <si>
    <t>Kilometerafvigelse ift. normal (diesel)</t>
  </si>
  <si>
    <t>Kilometerafvigelse ift. normal (benzin)</t>
  </si>
  <si>
    <t>Sats for alder:</t>
  </si>
  <si>
    <t>Satser for normal kilometerstand for benzindrevne personbiler (årligt):</t>
  </si>
  <si>
    <t>Satser for normal kilometerstand for dieseldrevne personbiler (årligt):</t>
  </si>
  <si>
    <t>Satser for nedskrivning</t>
  </si>
  <si>
    <t xml:space="preserve">Over 1 år </t>
  </si>
  <si>
    <t xml:space="preserve">Over 2 år </t>
  </si>
  <si>
    <t xml:space="preserve">Over 3 år </t>
  </si>
  <si>
    <t xml:space="preserve">Over 4 år </t>
  </si>
  <si>
    <t xml:space="preserve">Over 5 år </t>
  </si>
  <si>
    <t xml:space="preserve">Over 6 år </t>
  </si>
  <si>
    <t xml:space="preserve">Over 7 år </t>
  </si>
  <si>
    <t xml:space="preserve">Over 8 år </t>
  </si>
  <si>
    <t xml:space="preserve">Antal km. </t>
  </si>
  <si>
    <t xml:space="preserve">Reguleringer - Fastsættelse af handelspris for det pågældende køretøj </t>
  </si>
  <si>
    <t>Fastsættelse af nypris og handelspris</t>
  </si>
  <si>
    <t>Ekstraudstyr i alt</t>
  </si>
  <si>
    <t>Diesel</t>
  </si>
  <si>
    <t>Benzin</t>
  </si>
  <si>
    <t>10% af handelspris</t>
  </si>
  <si>
    <t>Ændring ift. handelspris over 10%</t>
  </si>
  <si>
    <t>Relevant hvis niveaulister/SKATs beregningsmodel er anvendt og benzindreven</t>
  </si>
  <si>
    <t>Relevant hvis niveaulister/SKATs beregningsmodel er anvendt og dieseldreven</t>
  </si>
  <si>
    <t>Afviger mere end 10 % (33 % hvis bilen er over 10 år)</t>
  </si>
  <si>
    <t>Regulering for skiftende chauffører (5 %)</t>
  </si>
  <si>
    <t>Beregnet handelspris</t>
  </si>
  <si>
    <t xml:space="preserve">Afvigende km-normtal </t>
  </si>
  <si>
    <t>Niveaulister</t>
  </si>
  <si>
    <t>Annoncer</t>
  </si>
  <si>
    <t>SKATs modelberegning</t>
  </si>
  <si>
    <t>Handelspris ud fra (vælg i dropdownboksen):</t>
  </si>
  <si>
    <t>Ja</t>
  </si>
  <si>
    <t>Nej</t>
  </si>
  <si>
    <t>Skiftende chauffører (vælg i dropdownboks)</t>
  </si>
  <si>
    <t>Bilens stand (vælg i dropdownboks):</t>
  </si>
  <si>
    <t xml:space="preserve">Relevant hvis annoncer er anvendt </t>
  </si>
  <si>
    <t>Fradrag for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</si>
</sst>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0\ &quot;kr.&quot;"/>
    <numFmt numFmtId="166" formatCode="#,##0\ &quot;kr.&quot;"/>
    <numFmt numFmtId="167" formatCode="_ * #,##0_ ;_ * \-#,##0_ ;_ * &quot;-&quot;??_ ;_ @_ "/>
    <numFmt numFmtId="168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1F4F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3" fontId="0" fillId="0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166" fontId="9" fillId="0" borderId="0" xfId="0" applyNumberFormat="1" applyFont="1" applyProtection="1">
      <protection hidden="1"/>
    </xf>
    <xf numFmtId="166" fontId="0" fillId="0" borderId="0" xfId="0" applyNumberFormat="1" applyProtection="1">
      <protection hidden="1"/>
    </xf>
    <xf numFmtId="166" fontId="5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9" fontId="0" fillId="0" borderId="0" xfId="0" applyNumberForma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166" fontId="9" fillId="0" borderId="2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0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3" fontId="0" fillId="0" borderId="0" xfId="0" applyNumberFormat="1" applyFont="1" applyFill="1" applyProtection="1">
      <protection hidden="1"/>
    </xf>
    <xf numFmtId="3" fontId="8" fillId="0" borderId="0" xfId="0" applyNumberFormat="1" applyFont="1" applyFill="1" applyProtection="1">
      <protection hidden="1"/>
    </xf>
    <xf numFmtId="3" fontId="8" fillId="0" borderId="0" xfId="0" applyNumberFormat="1" applyFont="1" applyFill="1" applyAlignment="1" applyProtection="1">
      <alignment horizontal="right"/>
      <protection hidden="1"/>
    </xf>
    <xf numFmtId="167" fontId="0" fillId="0" borderId="0" xfId="2" applyNumberFormat="1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 horizontal="right"/>
      <protection hidden="1"/>
    </xf>
    <xf numFmtId="3" fontId="5" fillId="0" borderId="0" xfId="0" applyNumberFormat="1" applyFont="1" applyBorder="1" applyProtection="1">
      <protection hidden="1"/>
    </xf>
    <xf numFmtId="165" fontId="0" fillId="0" borderId="0" xfId="0" applyNumberFormat="1" applyAlignment="1" applyProtection="1">
      <alignment horizontal="right"/>
      <protection hidden="1"/>
    </xf>
    <xf numFmtId="167" fontId="0" fillId="0" borderId="0" xfId="2" applyNumberFormat="1" applyFont="1" applyAlignment="1" applyProtection="1">
      <alignment horizontal="right"/>
      <protection hidden="1"/>
    </xf>
    <xf numFmtId="1" fontId="0" fillId="0" borderId="0" xfId="0" applyNumberFormat="1" applyProtection="1">
      <protection hidden="1"/>
    </xf>
    <xf numFmtId="0" fontId="8" fillId="0" borderId="0" xfId="0" applyFont="1" applyFill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10" fontId="0" fillId="0" borderId="0" xfId="0" applyNumberFormat="1" applyFill="1" applyAlignment="1" applyProtection="1">
      <alignment horizontal="right"/>
      <protection hidden="1"/>
    </xf>
    <xf numFmtId="9" fontId="0" fillId="0" borderId="0" xfId="1" applyFont="1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166" fontId="8" fillId="0" borderId="2" xfId="0" applyNumberFormat="1" applyFont="1" applyBorder="1" applyProtection="1">
      <protection hidden="1"/>
    </xf>
    <xf numFmtId="10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3" fontId="0" fillId="0" borderId="0" xfId="0" applyNumberFormat="1" applyFont="1" applyBorder="1" applyProtection="1">
      <protection hidden="1"/>
    </xf>
    <xf numFmtId="0" fontId="0" fillId="2" borderId="0" xfId="0" applyFill="1" applyAlignment="1" applyProtection="1">
      <alignment horizontal="right"/>
      <protection locked="0"/>
    </xf>
    <xf numFmtId="14" fontId="0" fillId="2" borderId="0" xfId="0" applyNumberFormat="1" applyFill="1" applyProtection="1">
      <protection locked="0"/>
    </xf>
    <xf numFmtId="167" fontId="0" fillId="2" borderId="0" xfId="2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0" xfId="0" applyNumberFormat="1" applyFont="1" applyFill="1" applyProtection="1">
      <protection locked="0"/>
    </xf>
    <xf numFmtId="0" fontId="4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5" fillId="3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6" fillId="4" borderId="0" xfId="0" applyFont="1" applyFill="1" applyAlignment="1" applyProtection="1">
      <protection hidden="1"/>
    </xf>
    <xf numFmtId="0" fontId="11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166" fontId="12" fillId="0" borderId="1" xfId="0" applyNumberFormat="1" applyFont="1" applyBorder="1" applyProtection="1">
      <protection hidden="1"/>
    </xf>
    <xf numFmtId="0" fontId="11" fillId="3" borderId="0" xfId="0" applyFont="1" applyFill="1" applyProtection="1">
      <protection hidden="1"/>
    </xf>
    <xf numFmtId="0" fontId="13" fillId="4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166" fontId="0" fillId="0" borderId="0" xfId="0" applyNumberFormat="1" applyFont="1" applyFill="1" applyProtection="1"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hidden="1"/>
    </xf>
    <xf numFmtId="166" fontId="8" fillId="0" borderId="0" xfId="0" applyNumberFormat="1" applyFont="1" applyBorder="1" applyProtection="1">
      <protection hidden="1"/>
    </xf>
    <xf numFmtId="0" fontId="14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3" fontId="0" fillId="2" borderId="0" xfId="0" applyNumberFormat="1" applyFont="1" applyFill="1" applyProtection="1"/>
    <xf numFmtId="1" fontId="5" fillId="0" borderId="0" xfId="0" applyNumberFormat="1" applyFont="1"/>
    <xf numFmtId="1" fontId="8" fillId="0" borderId="0" xfId="0" applyNumberFormat="1" applyFont="1"/>
    <xf numFmtId="0" fontId="3" fillId="0" borderId="0" xfId="0" applyFont="1"/>
    <xf numFmtId="167" fontId="0" fillId="2" borderId="0" xfId="2" applyNumberFormat="1" applyFont="1" applyFill="1"/>
    <xf numFmtId="167" fontId="0" fillId="0" borderId="0" xfId="0" applyNumberFormat="1"/>
    <xf numFmtId="167" fontId="5" fillId="0" borderId="0" xfId="2" applyNumberFormat="1" applyFont="1" applyFill="1"/>
    <xf numFmtId="0" fontId="7" fillId="0" borderId="0" xfId="0" applyFont="1"/>
    <xf numFmtId="9" fontId="0" fillId="0" borderId="0" xfId="0" applyNumberFormat="1"/>
    <xf numFmtId="9" fontId="0" fillId="0" borderId="0" xfId="1" applyFont="1"/>
    <xf numFmtId="1" fontId="0" fillId="0" borderId="0" xfId="0" applyNumberFormat="1"/>
    <xf numFmtId="0" fontId="3" fillId="0" borderId="2" xfId="0" applyFont="1" applyBorder="1"/>
    <xf numFmtId="0" fontId="0" fillId="0" borderId="2" xfId="0" applyBorder="1"/>
    <xf numFmtId="167" fontId="3" fillId="0" borderId="2" xfId="2" applyNumberFormat="1" applyFont="1" applyBorder="1"/>
    <xf numFmtId="0" fontId="11" fillId="3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</cellXfs>
  <cellStyles count="3">
    <cellStyle name="Komma" xfId="2" builtinId="3"/>
    <cellStyle name="Normal" xfId="0" builtinId="0"/>
    <cellStyle name="Procent" xfId="1" builtinId="5"/>
  </cellStyles>
  <dxfs count="4">
    <dxf>
      <font>
        <color theme="0" tint="-0.24994659260841701"/>
      </font>
      <fill>
        <patternFill patternType="lightDown">
          <fgColor theme="0" tint="-0.14996795556505021"/>
          <bgColor auto="1"/>
        </patternFill>
      </fill>
    </dxf>
    <dxf>
      <font>
        <color theme="0" tint="-0.24994659260841701"/>
      </font>
      <fill>
        <patternFill patternType="lightDown">
          <fgColor theme="0" tint="-0.14996795556505021"/>
          <bgColor auto="1"/>
        </patternFill>
      </fill>
    </dxf>
    <dxf>
      <font>
        <color theme="0" tint="-0.24994659260841701"/>
      </font>
      <fill>
        <patternFill patternType="lightDown">
          <fgColor theme="0" tint="-0.14993743705557422"/>
          <bgColor auto="1"/>
        </patternFill>
      </fill>
    </dxf>
    <dxf>
      <font>
        <color theme="0" tint="-0.24994659260841701"/>
      </font>
      <fill>
        <patternFill patternType="lightDown">
          <fgColor theme="0" tint="-0.14996795556505021"/>
          <bgColor auto="1"/>
        </patternFill>
      </fill>
    </dxf>
  </dxfs>
  <tableStyles count="0" defaultTableStyle="TableStyleMedium2" defaultPivotStyle="PivotStyleLight16"/>
  <colors>
    <mruColors>
      <color rgb="FFE1F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25</xdr:row>
      <xdr:rowOff>1419225</xdr:rowOff>
    </xdr:from>
    <xdr:to>
      <xdr:col>9</xdr:col>
      <xdr:colOff>552450</xdr:colOff>
      <xdr:row>32</xdr:row>
      <xdr:rowOff>68580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3675" y="6991350"/>
          <a:ext cx="3057525" cy="12782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Handelsprisen</a:t>
          </a:r>
          <a:r>
            <a:rPr lang="da-DK" sz="1100" baseline="0"/>
            <a:t> fastsættes på grundlag af sammenlignelige køretøjer - Nivaulister, annoncerede handelspriser eller SKATs modelberegning, hvis der ikke findes handelspriser.</a:t>
          </a:r>
        </a:p>
      </xdr:txBody>
    </xdr:sp>
    <xdr:clientData/>
  </xdr:twoCellAnchor>
  <xdr:twoCellAnchor>
    <xdr:from>
      <xdr:col>5</xdr:col>
      <xdr:colOff>76200</xdr:colOff>
      <xdr:row>36</xdr:row>
      <xdr:rowOff>95250</xdr:rowOff>
    </xdr:from>
    <xdr:to>
      <xdr:col>9</xdr:col>
      <xdr:colOff>552450</xdr:colOff>
      <xdr:row>44</xdr:row>
      <xdr:rowOff>133349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43675" y="8534400"/>
          <a:ext cx="3057525" cy="180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Middel</a:t>
          </a:r>
          <a:r>
            <a:rPr lang="da-DK" sz="1100" baseline="0"/>
            <a:t> stand: </a:t>
          </a:r>
          <a:r>
            <a:rPr lang="da-DK" sz="1100"/>
            <a:t>Der fratrækkes 3 % i handelsprisen,</a:t>
          </a:r>
          <a:r>
            <a:rPr lang="da-DK" sz="1100" baseline="0"/>
            <a:t> dog max 8.000 kr. </a:t>
          </a:r>
        </a:p>
        <a:p>
          <a:endParaRPr lang="da-DK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/>
            <a:t>Under </a:t>
          </a:r>
          <a:r>
            <a:rPr lang="da-DK" sz="1100" baseline="0"/>
            <a:t>middel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da-DK" sz="1100" baseline="0"/>
            <a:t>Som udgangspunkt fratrækkes 5 %, dog max 20.000 kr. (gælder ikke køretøjer under 6 måneder)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aseline="0"/>
        </a:p>
        <a:p>
          <a:r>
            <a:rPr lang="da-DK" sz="1100" baseline="0"/>
            <a:t>Over middel: Som udgangspunkt tillægges 2 %, dog max. 20.000 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(gælder ikke køretøjer under 6 måneder)</a:t>
          </a:r>
          <a:endParaRPr lang="da-DK" sz="1100"/>
        </a:p>
      </xdr:txBody>
    </xdr:sp>
    <xdr:clientData/>
  </xdr:twoCellAnchor>
  <xdr:twoCellAnchor>
    <xdr:from>
      <xdr:col>5</xdr:col>
      <xdr:colOff>78105</xdr:colOff>
      <xdr:row>103</xdr:row>
      <xdr:rowOff>171450</xdr:rowOff>
    </xdr:from>
    <xdr:to>
      <xdr:col>9</xdr:col>
      <xdr:colOff>573405</xdr:colOff>
      <xdr:row>109</xdr:row>
      <xdr:rowOff>41910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45580" y="22555200"/>
          <a:ext cx="3076575" cy="1013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udgangspunkt må reguleringen ikke medføre en ændring på over 10 % af handelsprisen. For rguleringer ud over 10 %, tillægges/fradrages det overskydende beløb med halvdelen.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89535</xdr:colOff>
      <xdr:row>24</xdr:row>
      <xdr:rowOff>41910</xdr:rowOff>
    </xdr:from>
    <xdr:to>
      <xdr:col>9</xdr:col>
      <xdr:colOff>573405</xdr:colOff>
      <xdr:row>25</xdr:row>
      <xdr:rowOff>1253490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57010" y="5423535"/>
          <a:ext cx="3065145" cy="1402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Hvis køretøjet er registreret i Danmark fra ny,</a:t>
          </a:r>
          <a:r>
            <a:rPr lang="da-DK" sz="1100" baseline="0"/>
            <a:t> er nyvognsprisen den faktiske afgiftspligtige værdi/genberegningsværiden inkl. moms og registreringsafgift for det pågældende køretøj.</a:t>
          </a:r>
        </a:p>
        <a:p>
          <a:r>
            <a:rPr lang="da-DK" sz="1100" baseline="0"/>
            <a:t>Ved import af køretøjer skal der findes en nyvognspris på grundlag af sammenlignelige køretøjer indregistreret fra ny i Danmark.</a:t>
          </a:r>
          <a:endParaRPr lang="da-DK" sz="1100"/>
        </a:p>
      </xdr:txBody>
    </xdr:sp>
    <xdr:clientData/>
  </xdr:twoCellAnchor>
  <xdr:twoCellAnchor>
    <xdr:from>
      <xdr:col>5</xdr:col>
      <xdr:colOff>22860</xdr:colOff>
      <xdr:row>115</xdr:row>
      <xdr:rowOff>169545</xdr:rowOff>
    </xdr:from>
    <xdr:to>
      <xdr:col>9</xdr:col>
      <xdr:colOff>537210</xdr:colOff>
      <xdr:row>128</xdr:row>
      <xdr:rowOff>53340</xdr:rowOff>
    </xdr:to>
    <xdr:sp macro="" textlink="">
      <xdr:nvSpPr>
        <xdr:cNvPr id="7" name="Tekstfe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90335" y="24839295"/>
          <a:ext cx="3095625" cy="23602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ekstraudstyr ikke indgår i handelsprisen, skal udstyret værdiansættes særskilt.</a:t>
          </a:r>
          <a:endParaRPr lang="da-DK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Nyværdien på ekstraudstyr, der ikke indgår i handelsprisen,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indtastes i de gule felter. Der sættes minus (-) foran beløbet, hvis køretøjet har mindre udstyr end annoncerne/niveaulisterne.</a:t>
          </a:r>
          <a:endParaRPr lang="da-DK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Værdien nedskrives til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SKATs 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procentsatser, når nyværdien for ekstraudstyr er fastsat.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effectLst/>
          </a:endParaRPr>
        </a:p>
        <a:p>
          <a:endParaRPr lang="da-DK" sz="1100"/>
        </a:p>
      </xdr:txBody>
    </xdr:sp>
    <xdr:clientData/>
  </xdr:twoCellAnchor>
  <xdr:twoCellAnchor>
    <xdr:from>
      <xdr:col>4</xdr:col>
      <xdr:colOff>609599</xdr:colOff>
      <xdr:row>138</xdr:row>
      <xdr:rowOff>171450</xdr:rowOff>
    </xdr:from>
    <xdr:to>
      <xdr:col>9</xdr:col>
      <xdr:colOff>523874</xdr:colOff>
      <xdr:row>144</xdr:row>
      <xdr:rowOff>180976</xdr:rowOff>
    </xdr:to>
    <xdr:sp macro="" textlink="">
      <xdr:nvSpPr>
        <xdr:cNvPr id="8" name="Tekstfe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67474" y="28651200"/>
          <a:ext cx="3105150" cy="1152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samlede fradrag for særlig anvendelse og stand, kan ikke udgøre over 20.000 kr., medmindre SKAT besigtiger køretøjet.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Fradraget gælder ikke for køretøjer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under 6 måneder. </a:t>
          </a:r>
          <a:endParaRPr lang="da-DK" sz="1100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47625</xdr:colOff>
      <xdr:row>10</xdr:row>
      <xdr:rowOff>9524</xdr:rowOff>
    </xdr:from>
    <xdr:to>
      <xdr:col>9</xdr:col>
      <xdr:colOff>542925</xdr:colOff>
      <xdr:row>16</xdr:row>
      <xdr:rowOff>76200</xdr:rowOff>
    </xdr:to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15100" y="2676524"/>
          <a:ext cx="3076575" cy="1209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Dette er et værktøj til værdifastsættelse af brugte personbiler. </a:t>
          </a:r>
        </a:p>
        <a:p>
          <a:endParaRPr lang="da-DK" sz="1100"/>
        </a:p>
        <a:p>
          <a:r>
            <a:rPr lang="da-DK" sz="1100" b="1"/>
            <a:t>De gule felter udfyldes og der tages stilling til kommentarerne</a:t>
          </a:r>
          <a:r>
            <a:rPr lang="da-DK" sz="1100" b="1" baseline="0"/>
            <a:t> </a:t>
          </a:r>
          <a:r>
            <a:rPr lang="da-DK" sz="1100" b="1"/>
            <a:t>og reglerne vedrørende værdifastsættelse  iøvrigt</a:t>
          </a:r>
          <a:r>
            <a:rPr lang="da-DK" sz="1100"/>
            <a:t>.</a:t>
          </a:r>
        </a:p>
      </xdr:txBody>
    </xdr:sp>
    <xdr:clientData/>
  </xdr:twoCellAnchor>
  <xdr:twoCellAnchor>
    <xdr:from>
      <xdr:col>5</xdr:col>
      <xdr:colOff>95250</xdr:colOff>
      <xdr:row>55</xdr:row>
      <xdr:rowOff>13335</xdr:rowOff>
    </xdr:from>
    <xdr:to>
      <xdr:col>9</xdr:col>
      <xdr:colOff>571500</xdr:colOff>
      <xdr:row>65</xdr:row>
      <xdr:rowOff>51435</xdr:rowOff>
    </xdr:to>
    <xdr:sp macro="" textlink="">
      <xdr:nvSpPr>
        <xdr:cNvPr id="10" name="Tekstfelt 9">
          <a:extLst>
            <a:ext uri="{FF2B5EF4-FFF2-40B4-BE49-F238E27FC236}">
              <a16:creationId xmlns:a16="http://schemas.microsoft.com/office/drawing/2014/main" id="{8CCAA703-76CC-4117-9F33-810D4B68E3F8}"/>
            </a:ext>
          </a:extLst>
        </xdr:cNvPr>
        <xdr:cNvSpPr txBox="1"/>
      </xdr:nvSpPr>
      <xdr:spPr>
        <a:xfrm>
          <a:off x="6562725" y="12891135"/>
          <a:ext cx="3057525" cy="2124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antal kørte kilometer, som fraviger det normale antal kørte kilometer med mere end 10 % gives der fradrag eller tillæg.</a:t>
          </a:r>
          <a:endParaRPr lang="da-DK">
            <a:effectLst/>
          </a:endParaRPr>
        </a:p>
        <a:p>
          <a:endParaRPr lang="da-DK" sz="1100"/>
        </a:p>
        <a:p>
          <a:r>
            <a:rPr lang="da-DK" sz="1100"/>
            <a:t>Er der afvigende km-normtal,</a:t>
          </a:r>
          <a:r>
            <a:rPr lang="da-DK" sz="1100" baseline="0"/>
            <a:t> indtastes  kilometer i det gule felt. </a:t>
          </a:r>
          <a:endParaRPr lang="da-DK" sz="1100"/>
        </a:p>
        <a:p>
          <a:endParaRPr lang="da-DK" sz="1100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kilometerberegninger gælder generelt, at der for personbiler, der er til og med 4 år gamle, bliver talt i hele år plus overskydende måneder med udgangspunkt i den aktuelle første registreringsdato. 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62865</xdr:colOff>
      <xdr:row>76</xdr:row>
      <xdr:rowOff>3810</xdr:rowOff>
    </xdr:from>
    <xdr:to>
      <xdr:col>9</xdr:col>
      <xdr:colOff>539115</xdr:colOff>
      <xdr:row>86</xdr:row>
      <xdr:rowOff>171450</xdr:rowOff>
    </xdr:to>
    <xdr:sp macro="" textlink="">
      <xdr:nvSpPr>
        <xdr:cNvPr id="11" name="Tekstfelt 10">
          <a:extLst>
            <a:ext uri="{FF2B5EF4-FFF2-40B4-BE49-F238E27FC236}">
              <a16:creationId xmlns:a16="http://schemas.microsoft.com/office/drawing/2014/main" id="{A320C447-E4B0-48AE-8682-545B8FE4D46D}"/>
            </a:ext>
          </a:extLst>
        </xdr:cNvPr>
        <xdr:cNvSpPr txBox="1"/>
      </xdr:nvSpPr>
      <xdr:spPr>
        <a:xfrm>
          <a:off x="6530340" y="17063085"/>
          <a:ext cx="3057525" cy="2253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antal kørte kilometer, som fraviger det normale antal kørte kilometer med mere end 10 % gives der fradrag eller tillæg.</a:t>
          </a:r>
          <a:endParaRPr lang="da-DK">
            <a:effectLst/>
          </a:endParaRPr>
        </a:p>
        <a:p>
          <a:endParaRPr lang="da-DK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der afvigende km-normtal,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indtastes  kilometer i det gule felt. </a:t>
          </a:r>
          <a:endParaRPr lang="da-DK">
            <a:effectLst/>
          </a:endParaRPr>
        </a:p>
        <a:p>
          <a:endParaRPr lang="da-DK" sz="1100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kilometerberegninger gælder generelt, at der for personbiler, der er til og med 4 år gamle, bliver talt i hele år plus overskydende måneder med udgangspunkt i den aktuelle første registreringsdato. 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93345</xdr:colOff>
      <xdr:row>96</xdr:row>
      <xdr:rowOff>60960</xdr:rowOff>
    </xdr:from>
    <xdr:to>
      <xdr:col>9</xdr:col>
      <xdr:colOff>569595</xdr:colOff>
      <xdr:row>101</xdr:row>
      <xdr:rowOff>129540</xdr:rowOff>
    </xdr:to>
    <xdr:sp macro="" textlink="">
      <xdr:nvSpPr>
        <xdr:cNvPr id="12" name="Tekstfelt 11">
          <a:extLst>
            <a:ext uri="{FF2B5EF4-FFF2-40B4-BE49-F238E27FC236}">
              <a16:creationId xmlns:a16="http://schemas.microsoft.com/office/drawing/2014/main" id="{B2FD98EB-DB94-4D5B-8538-D7CD292525F2}"/>
            </a:ext>
          </a:extLst>
        </xdr:cNvPr>
        <xdr:cNvSpPr txBox="1"/>
      </xdr:nvSpPr>
      <xdr:spPr>
        <a:xfrm>
          <a:off x="6560820" y="21111210"/>
          <a:ext cx="3057525" cy="102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med baggrund i de annoncerede handelspriser, at der skal foretages regulering for afvigende kilometer. Hvis annoncer er anvendt skrives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 gennemsnitlige kilometerstand i det gule felt.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76200</xdr:colOff>
      <xdr:row>45</xdr:row>
      <xdr:rowOff>15240</xdr:rowOff>
    </xdr:from>
    <xdr:to>
      <xdr:col>9</xdr:col>
      <xdr:colOff>552450</xdr:colOff>
      <xdr:row>54</xdr:row>
      <xdr:rowOff>0</xdr:rowOff>
    </xdr:to>
    <xdr:sp macro="" textlink="">
      <xdr:nvSpPr>
        <xdr:cNvPr id="13" name="Tekstfelt 12">
          <a:extLst>
            <a:ext uri="{FF2B5EF4-FFF2-40B4-BE49-F238E27FC236}">
              <a16:creationId xmlns:a16="http://schemas.microsoft.com/office/drawing/2014/main" id="{A69138AA-5896-45F4-9912-5994A0C7D113}"/>
            </a:ext>
          </a:extLst>
        </xdr:cNvPr>
        <xdr:cNvSpPr txBox="1"/>
      </xdr:nvSpPr>
      <xdr:spPr>
        <a:xfrm>
          <a:off x="6543675" y="10988040"/>
          <a:ext cx="3057525" cy="169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udgangspunkt må kilometertillægget/-fradraget ikke medføre, at køretøjets handelspris bliver lavere/højere end handelsprisen for et tilsvarende køretøj, der er et år ældre/yngre. Tjek selv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dette!</a:t>
          </a:r>
          <a:endParaRPr lang="da-DK">
            <a:effectLst/>
          </a:endParaRPr>
        </a:p>
        <a:p>
          <a:pPr rtl="0" eaLnBrk="1" fontAlgn="auto" latinLnBrk="0" hangingPunct="1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køretøjet er mere end 10 år gammelt, bliver kilometerantal som udgangspunkt ikke reguleret.</a:t>
          </a:r>
          <a:endParaRPr lang="da-DK">
            <a:effectLst/>
          </a:endParaRPr>
        </a:p>
        <a:p>
          <a:endParaRPr lang="da-DK" sz="1100"/>
        </a:p>
        <a:p>
          <a:endParaRPr lang="da-DK" sz="1100"/>
        </a:p>
      </xdr:txBody>
    </xdr:sp>
    <xdr:clientData/>
  </xdr:twoCellAnchor>
  <xdr:twoCellAnchor>
    <xdr:from>
      <xdr:col>5</xdr:col>
      <xdr:colOff>70485</xdr:colOff>
      <xdr:row>88</xdr:row>
      <xdr:rowOff>182880</xdr:rowOff>
    </xdr:from>
    <xdr:to>
      <xdr:col>9</xdr:col>
      <xdr:colOff>565785</xdr:colOff>
      <xdr:row>94</xdr:row>
      <xdr:rowOff>53340</xdr:rowOff>
    </xdr:to>
    <xdr:sp macro="" textlink="">
      <xdr:nvSpPr>
        <xdr:cNvPr id="14" name="Tekstfelt 13">
          <a:extLst>
            <a:ext uri="{FF2B5EF4-FFF2-40B4-BE49-F238E27FC236}">
              <a16:creationId xmlns:a16="http://schemas.microsoft.com/office/drawing/2014/main" id="{0FB46021-20A5-489C-AF32-B5951EEA31C8}"/>
            </a:ext>
          </a:extLst>
        </xdr:cNvPr>
        <xdr:cNvSpPr txBox="1"/>
      </xdr:nvSpPr>
      <xdr:spPr>
        <a:xfrm>
          <a:off x="6537960" y="19709130"/>
          <a:ext cx="3076575" cy="1013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udgangspunkt må reguleringen ikke medføre en ændring på over 10 % af handelsprisen. For rguleringer ud over 10 %, tillægges/fradrages det overskydende beløb med halvdelen.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>
    <xdr:from>
      <xdr:col>5</xdr:col>
      <xdr:colOff>78105</xdr:colOff>
      <xdr:row>67</xdr:row>
      <xdr:rowOff>169545</xdr:rowOff>
    </xdr:from>
    <xdr:to>
      <xdr:col>9</xdr:col>
      <xdr:colOff>573405</xdr:colOff>
      <xdr:row>73</xdr:row>
      <xdr:rowOff>40005</xdr:rowOff>
    </xdr:to>
    <xdr:sp macro="" textlink="">
      <xdr:nvSpPr>
        <xdr:cNvPr id="15" name="Tekstfelt 14">
          <a:extLst>
            <a:ext uri="{FF2B5EF4-FFF2-40B4-BE49-F238E27FC236}">
              <a16:creationId xmlns:a16="http://schemas.microsoft.com/office/drawing/2014/main" id="{1CE969E0-27C0-4B71-9C4F-BB2491CB8302}"/>
            </a:ext>
          </a:extLst>
        </xdr:cNvPr>
        <xdr:cNvSpPr txBox="1"/>
      </xdr:nvSpPr>
      <xdr:spPr>
        <a:xfrm>
          <a:off x="6545580" y="15514320"/>
          <a:ext cx="3076575" cy="1013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udgangspunkt må reguleringen ikke medføre en ændring på over 10 % af handelsprisen. For reguleringer ud over 10 %, tillægges/fradrages det overskydende beløb med halvdelen.</a:t>
          </a:r>
          <a:endParaRPr lang="da-DK">
            <a:effectLst/>
          </a:endParaRPr>
        </a:p>
        <a:p>
          <a:endParaRPr lang="da-DK" sz="1100"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10</xdr:col>
      <xdr:colOff>57150</xdr:colOff>
      <xdr:row>7</xdr:row>
      <xdr:rowOff>66675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5BEBE06F-222D-4AD3-ABCD-51917FE4A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9715500" cy="1343025"/>
        </a:xfrm>
        <a:prstGeom prst="rect">
          <a:avLst/>
        </a:prstGeom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1"/>
  <sheetViews>
    <sheetView tabSelected="1" workbookViewId="0">
      <selection activeCell="C120" sqref="C120"/>
    </sheetView>
  </sheetViews>
  <sheetFormatPr defaultRowHeight="15" x14ac:dyDescent="0.25"/>
  <cols>
    <col min="1" max="1" width="47.7109375" style="1" customWidth="1"/>
    <col min="2" max="2" width="5.140625" style="1" customWidth="1"/>
    <col min="3" max="3" width="20.7109375" style="1" customWidth="1"/>
    <col min="4" max="4" width="14.28515625" style="3" bestFit="1" customWidth="1"/>
    <col min="5" max="5" width="9.140625" style="1" customWidth="1"/>
    <col min="6" max="6" width="10" style="1" customWidth="1"/>
    <col min="7" max="7" width="10.42578125" style="1" customWidth="1"/>
    <col min="8" max="10" width="9.140625" style="1"/>
    <col min="11" max="11" width="9.140625" style="5"/>
    <col min="12" max="16384" width="9.140625" style="1"/>
  </cols>
  <sheetData>
    <row r="1" spans="1:10" x14ac:dyDescent="0.25">
      <c r="A1" s="62"/>
      <c r="B1" s="62"/>
      <c r="C1" s="62"/>
      <c r="D1" s="63"/>
      <c r="E1" s="62"/>
      <c r="F1" s="62"/>
      <c r="G1" s="62"/>
      <c r="H1" s="62"/>
      <c r="I1" s="62"/>
      <c r="J1" s="62"/>
    </row>
    <row r="2" spans="1:10" x14ac:dyDescent="0.25">
      <c r="A2" s="62"/>
      <c r="B2" s="62"/>
      <c r="C2" s="62"/>
      <c r="D2" s="63"/>
      <c r="E2" s="62"/>
      <c r="F2" s="62"/>
      <c r="G2" s="62"/>
      <c r="H2" s="62"/>
      <c r="I2" s="62"/>
      <c r="J2" s="62"/>
    </row>
    <row r="3" spans="1:10" x14ac:dyDescent="0.25">
      <c r="A3" s="62"/>
      <c r="B3" s="62"/>
      <c r="C3" s="62"/>
      <c r="D3" s="63"/>
      <c r="E3" s="62"/>
      <c r="F3" s="62"/>
      <c r="G3" s="62"/>
      <c r="H3" s="62"/>
      <c r="I3" s="62"/>
      <c r="J3" s="62"/>
    </row>
    <row r="4" spans="1:10" x14ac:dyDescent="0.25">
      <c r="A4" s="62"/>
      <c r="B4" s="62"/>
      <c r="C4" s="62"/>
      <c r="D4" s="63"/>
      <c r="E4" s="62"/>
      <c r="F4" s="62"/>
      <c r="G4" s="62"/>
      <c r="H4" s="62"/>
      <c r="I4" s="62"/>
      <c r="J4" s="62"/>
    </row>
    <row r="5" spans="1:10" x14ac:dyDescent="0.25">
      <c r="A5" s="62"/>
      <c r="B5" s="62"/>
      <c r="C5" s="62"/>
      <c r="D5" s="63"/>
      <c r="E5" s="62"/>
      <c r="F5" s="62"/>
      <c r="G5" s="62"/>
      <c r="H5" s="62"/>
      <c r="I5" s="62"/>
      <c r="J5" s="62"/>
    </row>
    <row r="6" spans="1:10" x14ac:dyDescent="0.25">
      <c r="A6" s="62"/>
      <c r="B6" s="62"/>
      <c r="C6" s="62"/>
      <c r="D6" s="63"/>
      <c r="E6" s="62"/>
      <c r="F6" s="62"/>
      <c r="G6" s="62"/>
      <c r="H6" s="62"/>
      <c r="I6" s="62"/>
      <c r="J6" s="62"/>
    </row>
    <row r="7" spans="1:10" x14ac:dyDescent="0.25">
      <c r="A7" s="62"/>
      <c r="B7" s="62"/>
      <c r="C7" s="62"/>
      <c r="D7" s="63"/>
      <c r="E7" s="62"/>
      <c r="F7" s="62"/>
      <c r="G7" s="62"/>
      <c r="H7" s="62"/>
      <c r="I7" s="62"/>
      <c r="J7" s="62"/>
    </row>
    <row r="8" spans="1:10" x14ac:dyDescent="0.25">
      <c r="A8" s="62"/>
      <c r="B8" s="62"/>
      <c r="C8" s="62"/>
      <c r="D8" s="63"/>
      <c r="E8" s="62"/>
      <c r="F8" s="62"/>
      <c r="G8" s="62"/>
      <c r="H8" s="62"/>
      <c r="I8" s="62"/>
      <c r="J8" s="62"/>
    </row>
    <row r="9" spans="1:10" ht="26.25" x14ac:dyDescent="0.4">
      <c r="A9" s="70" t="s">
        <v>22</v>
      </c>
      <c r="B9" s="65"/>
      <c r="C9" s="65"/>
      <c r="D9" s="65"/>
      <c r="E9" s="65"/>
      <c r="F9" s="65"/>
      <c r="G9" s="65"/>
      <c r="H9" s="65"/>
      <c r="I9" s="65"/>
      <c r="J9" s="62"/>
    </row>
    <row r="10" spans="1:10" ht="18.75" x14ac:dyDescent="0.3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60"/>
    </row>
    <row r="11" spans="1:10" x14ac:dyDescent="0.25">
      <c r="A11" s="2" t="s">
        <v>0</v>
      </c>
      <c r="C11" s="51"/>
    </row>
    <row r="12" spans="1:10" x14ac:dyDescent="0.25">
      <c r="A12" s="2" t="s">
        <v>1</v>
      </c>
      <c r="C12" s="51"/>
    </row>
    <row r="13" spans="1:10" x14ac:dyDescent="0.25">
      <c r="A13" s="2" t="s">
        <v>2</v>
      </c>
      <c r="C13" s="51"/>
    </row>
    <row r="14" spans="1:10" x14ac:dyDescent="0.25">
      <c r="A14" s="2" t="s">
        <v>3</v>
      </c>
      <c r="C14" s="52">
        <v>42038</v>
      </c>
    </row>
    <row r="15" spans="1:10" x14ac:dyDescent="0.25">
      <c r="A15" s="2" t="s">
        <v>16</v>
      </c>
      <c r="C15" s="53">
        <v>125000</v>
      </c>
      <c r="D15" s="3" t="s">
        <v>55</v>
      </c>
    </row>
    <row r="16" spans="1:10" x14ac:dyDescent="0.25">
      <c r="A16" s="2" t="s">
        <v>4</v>
      </c>
      <c r="C16" s="51" t="s">
        <v>59</v>
      </c>
    </row>
    <row r="17" spans="1:15" x14ac:dyDescent="0.25">
      <c r="A17" s="2" t="s">
        <v>6</v>
      </c>
      <c r="C17" s="51"/>
    </row>
    <row r="18" spans="1:15" x14ac:dyDescent="0.25">
      <c r="A18" s="3" t="s">
        <v>19</v>
      </c>
      <c r="B18" s="3"/>
      <c r="C18" s="54"/>
      <c r="D18" s="55"/>
      <c r="E18" s="54"/>
      <c r="F18" s="54"/>
      <c r="G18" s="54"/>
      <c r="O18" s="2"/>
    </row>
    <row r="19" spans="1:15" x14ac:dyDescent="0.25">
      <c r="A19" s="4"/>
      <c r="B19" s="4"/>
      <c r="C19" s="5"/>
    </row>
    <row r="20" spans="1:15" x14ac:dyDescent="0.25">
      <c r="A20" s="3" t="s">
        <v>12</v>
      </c>
      <c r="B20" s="3"/>
      <c r="C20" s="52">
        <v>43859</v>
      </c>
    </row>
    <row r="21" spans="1:15" x14ac:dyDescent="0.25">
      <c r="A21" s="3" t="s">
        <v>13</v>
      </c>
      <c r="B21" s="3"/>
      <c r="C21" s="6">
        <f>DATEDIF(C14,C20,"m")</f>
        <v>59</v>
      </c>
      <c r="D21" s="3" t="s">
        <v>14</v>
      </c>
      <c r="I21" s="7"/>
    </row>
    <row r="22" spans="1:15" x14ac:dyDescent="0.25">
      <c r="A22" s="3"/>
      <c r="B22" s="3"/>
      <c r="C22" s="6"/>
    </row>
    <row r="24" spans="1:15" ht="18.75" x14ac:dyDescent="0.3">
      <c r="A24" s="69" t="s">
        <v>57</v>
      </c>
      <c r="B24" s="59"/>
      <c r="C24" s="60"/>
      <c r="D24" s="61"/>
      <c r="E24" s="60"/>
      <c r="F24" s="60"/>
      <c r="G24" s="60"/>
      <c r="H24" s="60"/>
      <c r="I24" s="60"/>
      <c r="J24" s="60"/>
    </row>
    <row r="25" spans="1:15" x14ac:dyDescent="0.25">
      <c r="A25" s="2" t="s">
        <v>33</v>
      </c>
      <c r="C25" s="56">
        <v>1226000</v>
      </c>
    </row>
    <row r="26" spans="1:15" ht="113.45" customHeight="1" x14ac:dyDescent="0.25">
      <c r="A26" s="2"/>
      <c r="C26" s="8"/>
    </row>
    <row r="27" spans="1:15" ht="18.75" customHeight="1" x14ac:dyDescent="0.25">
      <c r="A27" s="2" t="s">
        <v>72</v>
      </c>
      <c r="C27" s="54" t="s">
        <v>70</v>
      </c>
    </row>
    <row r="28" spans="1:15" x14ac:dyDescent="0.25">
      <c r="A28" s="2"/>
      <c r="C28" s="9"/>
    </row>
    <row r="29" spans="1:15" x14ac:dyDescent="0.25">
      <c r="A29" s="2" t="s">
        <v>34</v>
      </c>
      <c r="C29" s="56">
        <v>709000</v>
      </c>
    </row>
    <row r="30" spans="1:15" x14ac:dyDescent="0.25">
      <c r="A30" s="2"/>
    </row>
    <row r="31" spans="1:15" x14ac:dyDescent="0.25">
      <c r="A31" s="2" t="s">
        <v>7</v>
      </c>
      <c r="C31" s="10">
        <f>IF(C27=Opslag!$C$2,5%,0%)</f>
        <v>0.05</v>
      </c>
    </row>
    <row r="33" spans="1:11" x14ac:dyDescent="0.25">
      <c r="A33" s="11" t="s">
        <v>35</v>
      </c>
      <c r="B33" s="11"/>
      <c r="D33" s="12">
        <f>ROUND(C29*(100%-C31),-3)</f>
        <v>674000</v>
      </c>
      <c r="G33" s="13"/>
      <c r="K33" s="71"/>
    </row>
    <row r="36" spans="1:11" ht="18.75" x14ac:dyDescent="0.3">
      <c r="A36" s="92" t="s">
        <v>56</v>
      </c>
      <c r="B36" s="92"/>
      <c r="C36" s="92"/>
      <c r="D36" s="92"/>
      <c r="E36" s="92"/>
      <c r="F36" s="92"/>
      <c r="G36" s="92"/>
      <c r="H36" s="92"/>
      <c r="I36" s="92"/>
      <c r="J36" s="60"/>
    </row>
    <row r="37" spans="1:11" x14ac:dyDescent="0.25">
      <c r="A37" s="11" t="s">
        <v>78</v>
      </c>
      <c r="B37" s="11"/>
    </row>
    <row r="38" spans="1:11" ht="34.5" customHeight="1" x14ac:dyDescent="0.25">
      <c r="A38" s="74" t="s">
        <v>76</v>
      </c>
      <c r="C38" s="57" t="s">
        <v>29</v>
      </c>
      <c r="D38" s="75">
        <f>IF($C$38=Opslag!$E$1,IF(D33*-3%&lt;-8000,-8000,D33*-3%),IF($C$38=Opslag!$E$2,IF(D33*-5%&lt;-20000,-20000,D33*-5%),IF($C$38=Opslag!$E$3,IF(D33*2%&lt;-20000,-20000,D33*2%),)))</f>
        <v>-8000</v>
      </c>
      <c r="E38" s="5"/>
    </row>
    <row r="39" spans="1:11" s="19" customFormat="1" x14ac:dyDescent="0.25">
      <c r="A39" s="15"/>
      <c r="B39" s="16"/>
      <c r="C39" s="17"/>
      <c r="D39" s="18"/>
    </row>
    <row r="40" spans="1:11" s="19" customFormat="1" x14ac:dyDescent="0.25">
      <c r="A40" s="15"/>
      <c r="B40" s="16"/>
      <c r="C40" s="17"/>
      <c r="D40" s="20"/>
    </row>
    <row r="41" spans="1:11" s="19" customFormat="1" x14ac:dyDescent="0.25">
      <c r="A41" s="15"/>
      <c r="B41" s="16"/>
      <c r="C41" s="17"/>
      <c r="D41" s="20"/>
    </row>
    <row r="43" spans="1:11" x14ac:dyDescent="0.25">
      <c r="A43" s="21" t="s">
        <v>30</v>
      </c>
      <c r="B43" s="21"/>
      <c r="C43" s="22"/>
      <c r="D43" s="23">
        <f>IF(C21&lt;6,IF(D33*-3%&lt;-8000,-8000,D33*-3%),D38)</f>
        <v>-8000</v>
      </c>
    </row>
    <row r="44" spans="1:11" x14ac:dyDescent="0.25">
      <c r="A44" s="11"/>
      <c r="B44" s="11"/>
      <c r="D44" s="12"/>
    </row>
    <row r="45" spans="1:11" x14ac:dyDescent="0.25">
      <c r="A45" s="11"/>
      <c r="B45" s="11"/>
      <c r="D45" s="12"/>
    </row>
    <row r="47" spans="1:11" s="2" customFormat="1" x14ac:dyDescent="0.25">
      <c r="A47" s="11" t="s">
        <v>23</v>
      </c>
      <c r="B47" s="11"/>
      <c r="D47" s="3"/>
      <c r="K47" s="27"/>
    </row>
    <row r="48" spans="1:11" s="2" customFormat="1" x14ac:dyDescent="0.25">
      <c r="A48" s="24" t="s">
        <v>43</v>
      </c>
      <c r="B48" s="24"/>
      <c r="C48" s="1"/>
      <c r="D48" s="3"/>
      <c r="K48" s="27"/>
    </row>
    <row r="49" spans="1:11" s="2" customFormat="1" x14ac:dyDescent="0.25">
      <c r="A49" s="1" t="s">
        <v>10</v>
      </c>
      <c r="B49" s="1"/>
      <c r="C49" s="25">
        <v>0.31</v>
      </c>
      <c r="D49" s="3"/>
      <c r="K49" s="27"/>
    </row>
    <row r="50" spans="1:11" s="2" customFormat="1" x14ac:dyDescent="0.25">
      <c r="A50" s="1" t="s">
        <v>9</v>
      </c>
      <c r="B50" s="1"/>
      <c r="C50" s="25">
        <v>0.22</v>
      </c>
      <c r="D50" s="3"/>
      <c r="K50" s="27"/>
    </row>
    <row r="51" spans="1:11" s="2" customFormat="1" x14ac:dyDescent="0.25">
      <c r="A51" s="1" t="s">
        <v>8</v>
      </c>
      <c r="B51" s="1"/>
      <c r="C51" s="25">
        <v>0.2</v>
      </c>
      <c r="D51" s="3"/>
      <c r="K51" s="27"/>
    </row>
    <row r="52" spans="1:11" s="2" customFormat="1" x14ac:dyDescent="0.25">
      <c r="A52" s="1" t="s">
        <v>11</v>
      </c>
      <c r="B52" s="1"/>
      <c r="C52" s="25">
        <v>0.17</v>
      </c>
      <c r="D52" s="3"/>
      <c r="K52" s="27"/>
    </row>
    <row r="53" spans="1:11" s="2" customFormat="1" x14ac:dyDescent="0.25">
      <c r="A53" s="1"/>
      <c r="B53" s="1"/>
      <c r="C53" s="25"/>
      <c r="D53" s="3"/>
      <c r="K53" s="27"/>
    </row>
    <row r="54" spans="1:11" s="2" customFormat="1" x14ac:dyDescent="0.25">
      <c r="A54" s="1"/>
      <c r="B54" s="1"/>
      <c r="C54" s="25"/>
      <c r="D54" s="3"/>
      <c r="K54" s="27"/>
    </row>
    <row r="55" spans="1:11" s="2" customFormat="1" x14ac:dyDescent="0.25">
      <c r="A55" s="93" t="s">
        <v>63</v>
      </c>
      <c r="B55" s="93"/>
      <c r="C55" s="93"/>
      <c r="D55" s="76"/>
      <c r="K55" s="27"/>
    </row>
    <row r="56" spans="1:11" s="2" customFormat="1" ht="29.45" customHeight="1" x14ac:dyDescent="0.25">
      <c r="A56" s="26" t="s">
        <v>44</v>
      </c>
      <c r="C56" s="27"/>
      <c r="D56" s="28">
        <f>MIN(C21,48)</f>
        <v>48</v>
      </c>
      <c r="K56" s="27"/>
    </row>
    <row r="57" spans="1:11" s="2" customFormat="1" x14ac:dyDescent="0.25">
      <c r="A57" s="2" t="s">
        <v>17</v>
      </c>
      <c r="B57" s="2" t="s">
        <v>27</v>
      </c>
      <c r="C57" s="29">
        <v>20000</v>
      </c>
      <c r="D57" s="30">
        <f>IF(AND(OR(C27=Opslag!$C$1,C27=Opslag!$C$3),C16="Benzin"),C57/12*D56,0)</f>
        <v>0</v>
      </c>
      <c r="K57" s="27"/>
    </row>
    <row r="58" spans="1:11" s="2" customFormat="1" x14ac:dyDescent="0.25">
      <c r="A58" s="2" t="s">
        <v>18</v>
      </c>
      <c r="B58" s="2" t="s">
        <v>27</v>
      </c>
      <c r="C58" s="29">
        <v>15000</v>
      </c>
      <c r="D58" s="30">
        <f>IF(AND(OR(C27=Opslag!$C$1,C27=Opslag!$C$3),C16="Benzin",C21&gt;48),C58*ROUND(C21/12-4,0),0)</f>
        <v>0</v>
      </c>
      <c r="K58" s="27"/>
    </row>
    <row r="59" spans="1:11" s="2" customFormat="1" x14ac:dyDescent="0.25">
      <c r="D59" s="30"/>
      <c r="K59" s="27"/>
    </row>
    <row r="60" spans="1:11" s="2" customFormat="1" x14ac:dyDescent="0.25">
      <c r="A60" s="2" t="s">
        <v>38</v>
      </c>
      <c r="C60" s="29" t="str">
        <f>IF(AND(OR(C27=Opslag!$C$1,C27=Opslag!$C$3),C16="Benzin"),D57+D58,"")</f>
        <v/>
      </c>
      <c r="D60" s="30" t="str">
        <f>IF(C64="","",IF(AND(C21&lt;121,ABS(C64)/ABS(C60)&gt;0.1),"JA",IF(AND(C21&gt;120,ABS(C64)/ABS(C60)&gt;0.33),"JA","NEJ")))</f>
        <v/>
      </c>
      <c r="K60" s="27"/>
    </row>
    <row r="61" spans="1:11" s="2" customFormat="1" x14ac:dyDescent="0.25">
      <c r="C61" s="29"/>
      <c r="D61" s="31" t="str">
        <f>IF(C60="","",IF(AND(D60="JA",C21&lt;12),D33/100000*C64*C49,IF(AND(D60="JA",C21&lt;24),D33/100000*C64*C50,IF(AND(D60="JA",C21&lt;36),D33/100000*C64*C51,IF(D60="JA",D33/100000*C64*C52,0)))))</f>
        <v/>
      </c>
      <c r="K61" s="27"/>
    </row>
    <row r="62" spans="1:11" s="2" customFormat="1" x14ac:dyDescent="0.25">
      <c r="A62" s="2" t="s">
        <v>68</v>
      </c>
      <c r="C62" s="58"/>
      <c r="D62" s="28" t="str">
        <f>IF(OR(C64="",C62="",C62=0),"",IF(AND(C21&lt;121,ABS(C64)/ABS(C62)&gt;0.1),"JA",IF(AND(C21&gt;120,ABS(C64)/ABS(C62)&gt;0.33),"JA","NEJ")))</f>
        <v/>
      </c>
      <c r="K62" s="27"/>
    </row>
    <row r="63" spans="1:11" s="2" customFormat="1" x14ac:dyDescent="0.25">
      <c r="C63" s="29"/>
      <c r="D63" s="28" t="str">
        <f>IF(OR(C62="",C62=0),"",IF(AND(D62="JA",C21&lt;12),D33/100000*C64*C49,IF(AND(D62="JA",C21&lt;24),D33/100000*C64*C50,IF(AND(D62="JA",C21&lt;36),D33/100000*C64*C51,IF(D62="JA",D33/100000*C64*C52,0)))))</f>
        <v/>
      </c>
      <c r="K63" s="27"/>
    </row>
    <row r="64" spans="1:11" s="2" customFormat="1" x14ac:dyDescent="0.25">
      <c r="A64" s="1" t="s">
        <v>42</v>
      </c>
      <c r="C64" s="32" t="str">
        <f>IF(C60="","",IF(C62="",ROUND(C60-C15,-3),ROUND(C62-C15,-3)))</f>
        <v/>
      </c>
      <c r="D64" s="28"/>
      <c r="K64" s="27"/>
    </row>
    <row r="65" spans="1:11" s="2" customFormat="1" x14ac:dyDescent="0.25">
      <c r="A65" s="1"/>
      <c r="C65" s="29"/>
      <c r="D65" s="28"/>
      <c r="K65" s="27"/>
    </row>
    <row r="66" spans="1:11" s="2" customFormat="1" x14ac:dyDescent="0.25">
      <c r="A66" s="1" t="s">
        <v>65</v>
      </c>
      <c r="C66" s="33" t="str">
        <f>IF(OR(C62="",C62=0),D60,D62)</f>
        <v/>
      </c>
      <c r="D66" s="28"/>
      <c r="K66" s="27"/>
    </row>
    <row r="67" spans="1:11" s="2" customFormat="1" x14ac:dyDescent="0.25">
      <c r="A67" s="1"/>
      <c r="C67" s="34"/>
      <c r="D67" s="28"/>
      <c r="K67" s="27"/>
    </row>
    <row r="68" spans="1:11" s="2" customFormat="1" x14ac:dyDescent="0.25">
      <c r="A68" s="1" t="s">
        <v>31</v>
      </c>
      <c r="B68" s="1"/>
      <c r="C68" s="35" t="str">
        <f>IF(OR(C62="",C62=0),D61,D63)</f>
        <v/>
      </c>
      <c r="D68" s="28"/>
      <c r="K68" s="27"/>
    </row>
    <row r="69" spans="1:11" s="2" customFormat="1" x14ac:dyDescent="0.25">
      <c r="A69" s="1"/>
      <c r="B69" s="1"/>
      <c r="C69" s="14"/>
      <c r="D69" s="28"/>
      <c r="K69" s="27"/>
    </row>
    <row r="70" spans="1:11" s="2" customFormat="1" x14ac:dyDescent="0.25">
      <c r="A70" s="1" t="s">
        <v>62</v>
      </c>
      <c r="B70" s="1"/>
      <c r="C70" s="36" t="str">
        <f>IF(C60="","",IF(ABS(C68)/D33&gt;10%,"JA","NEJ"))</f>
        <v/>
      </c>
      <c r="D70" s="28"/>
      <c r="K70" s="27"/>
    </row>
    <row r="71" spans="1:11" s="2" customFormat="1" x14ac:dyDescent="0.25">
      <c r="A71" s="1" t="s">
        <v>61</v>
      </c>
      <c r="B71" s="1"/>
      <c r="C71" s="37" t="str">
        <f>IF(C60="","",IF(AND(C70="JA",C68&gt;0),$D$33*10%,IF(AND(C70="JA",C68&lt;0),-$D$33*10%,0)))</f>
        <v/>
      </c>
      <c r="D71" s="28"/>
      <c r="K71" s="27"/>
    </row>
    <row r="72" spans="1:11" s="2" customFormat="1" x14ac:dyDescent="0.25">
      <c r="A72" s="1" t="s">
        <v>32</v>
      </c>
      <c r="B72" s="1"/>
      <c r="C72" s="32" t="str">
        <f>IF(C60="","",IF(C70="JA",(C68-C71)/2,0))</f>
        <v/>
      </c>
      <c r="D72" s="28"/>
      <c r="K72" s="27"/>
    </row>
    <row r="73" spans="1:11" s="2" customFormat="1" x14ac:dyDescent="0.25">
      <c r="A73" s="1"/>
      <c r="B73" s="1"/>
      <c r="C73" s="38"/>
      <c r="D73" s="28"/>
      <c r="K73" s="27"/>
    </row>
    <row r="74" spans="1:11" s="2" customFormat="1" x14ac:dyDescent="0.25">
      <c r="A74" s="1" t="s">
        <v>15</v>
      </c>
      <c r="B74" s="1"/>
      <c r="C74" s="8">
        <f>IF(C60="",0,IF(C70="Nej",C68,(C71+C72)))</f>
        <v>0</v>
      </c>
      <c r="D74" s="28"/>
      <c r="K74" s="27"/>
    </row>
    <row r="75" spans="1:11" s="2" customFormat="1" x14ac:dyDescent="0.25">
      <c r="A75" s="1"/>
      <c r="B75" s="1"/>
      <c r="C75" s="8"/>
      <c r="D75" s="3"/>
      <c r="K75" s="27"/>
    </row>
    <row r="76" spans="1:11" s="2" customFormat="1" x14ac:dyDescent="0.25">
      <c r="A76" s="93" t="s">
        <v>64</v>
      </c>
      <c r="B76" s="93"/>
      <c r="C76" s="93"/>
      <c r="D76" s="76"/>
      <c r="K76" s="27"/>
    </row>
    <row r="77" spans="1:11" s="2" customFormat="1" ht="29.45" customHeight="1" x14ac:dyDescent="0.25">
      <c r="A77" s="26" t="s">
        <v>45</v>
      </c>
      <c r="B77" s="24"/>
      <c r="C77" s="29"/>
      <c r="D77" s="39">
        <f>MIN(C21,48)</f>
        <v>48</v>
      </c>
      <c r="K77" s="27"/>
    </row>
    <row r="78" spans="1:11" s="2" customFormat="1" x14ac:dyDescent="0.25">
      <c r="A78" s="2" t="s">
        <v>17</v>
      </c>
      <c r="B78" s="2" t="s">
        <v>27</v>
      </c>
      <c r="C78" s="29">
        <v>30000</v>
      </c>
      <c r="D78" s="30">
        <f>IF(AND(OR(C27=Opslag!$C$1,C27=Opslag!$C$3),C16="Diesel"),C78/12*D77,0)</f>
        <v>0</v>
      </c>
      <c r="K78" s="27"/>
    </row>
    <row r="79" spans="1:11" s="2" customFormat="1" x14ac:dyDescent="0.25">
      <c r="A79" s="2" t="s">
        <v>18</v>
      </c>
      <c r="B79" s="2" t="s">
        <v>27</v>
      </c>
      <c r="C79" s="29">
        <v>20000</v>
      </c>
      <c r="D79" s="30">
        <f>IF(AND(OR(C27=Opslag!$C$1,C27=Opslag!$C$3),C16="Diesel",C21&gt;48),C79*ROUND(C21/12-4,0),0)</f>
        <v>0</v>
      </c>
      <c r="K79" s="29"/>
    </row>
    <row r="80" spans="1:11" s="2" customFormat="1" x14ac:dyDescent="0.25">
      <c r="C80"/>
      <c r="D80" s="30"/>
      <c r="K80" s="29"/>
    </row>
    <row r="81" spans="1:11" s="2" customFormat="1" x14ac:dyDescent="0.25">
      <c r="A81" s="2" t="s">
        <v>39</v>
      </c>
      <c r="C81" s="29" t="str">
        <f>IF(AND(OR(C27=Opslag!$C$1,C27=Opslag!$C$3),C16="Diesel"),D78+D79,"")</f>
        <v/>
      </c>
      <c r="D81" s="31" t="str">
        <f>IF(C85="","",IF(AND(C21&lt;121,ABS(C85)/ABS(C81)&gt;0.1),"JA",IF(AND(C21&gt;120,ABS(C85)/ABS(C81)&gt;0.33),"JA","NEJ")))</f>
        <v/>
      </c>
      <c r="K81" s="29"/>
    </row>
    <row r="82" spans="1:11" s="2" customFormat="1" x14ac:dyDescent="0.25">
      <c r="C82" s="29"/>
      <c r="D82" s="40" t="str">
        <f>IF(C81="","",IF(AND(D81="JA",C21&lt;12),D33/100000*C85*C49,IF(AND(D81="JA",C21&lt;24),D33/100000*C85*C50,IF(AND(D81="JA",C21&lt;36),D33/100000*C85*C51,IF(D81="JA",D33/100000*C85*C52,0)))))</f>
        <v/>
      </c>
      <c r="K82" s="27"/>
    </row>
    <row r="83" spans="1:11" s="2" customFormat="1" x14ac:dyDescent="0.25">
      <c r="A83" s="2" t="s">
        <v>68</v>
      </c>
      <c r="C83" s="78"/>
      <c r="D83" s="41" t="str">
        <f>IF(C85="","",IF(AND(C21&lt;121,ABS(C85)/ABS(C83)&gt;0.1),"JA",IF(AND(C21&gt;120,ABS(C85)/ABS(C83)&gt;0.33),"JA","NEJ")))</f>
        <v/>
      </c>
      <c r="K83" s="27"/>
    </row>
    <row r="84" spans="1:11" s="2" customFormat="1" x14ac:dyDescent="0.25">
      <c r="C84" s="29"/>
      <c r="D84" s="39" t="str">
        <f>IF(C83="","",IF(AND(D83="JA",C21&lt;12),D33/100000*C85*C49,IF(AND(D83="JA",C21&lt;24),D33/100000*C85*C50,IF(AND(D83="JA",C21&lt;36),D33/100000*C85*C51,IF(D83="JA",D33/100000*C85*C52,0)))))</f>
        <v/>
      </c>
      <c r="K84" s="72"/>
    </row>
    <row r="85" spans="1:11" s="2" customFormat="1" x14ac:dyDescent="0.25">
      <c r="A85" s="1" t="s">
        <v>41</v>
      </c>
      <c r="C85" s="29" t="str">
        <f>IF(C81="","",IF(OR(C83="",C83=0),ROUND(C81-C15,-3),ROUND(C83-C15,-3)))</f>
        <v/>
      </c>
      <c r="D85" s="39"/>
      <c r="K85" s="27"/>
    </row>
    <row r="86" spans="1:11" s="2" customFormat="1" x14ac:dyDescent="0.25">
      <c r="A86" s="1"/>
      <c r="C86" s="29"/>
      <c r="D86" s="39"/>
      <c r="K86" s="27"/>
    </row>
    <row r="87" spans="1:11" s="2" customFormat="1" x14ac:dyDescent="0.25">
      <c r="A87" s="1" t="s">
        <v>65</v>
      </c>
      <c r="C87" s="42" t="str">
        <f>IF(C83="",D81,D83)</f>
        <v/>
      </c>
      <c r="D87" s="39"/>
      <c r="K87" s="27"/>
    </row>
    <row r="88" spans="1:11" s="2" customFormat="1" x14ac:dyDescent="0.25">
      <c r="A88" s="1"/>
      <c r="C88" s="29"/>
      <c r="D88" s="28"/>
      <c r="E88" s="36"/>
      <c r="F88" s="37"/>
      <c r="G88" s="32"/>
      <c r="K88" s="27"/>
    </row>
    <row r="89" spans="1:11" s="2" customFormat="1" x14ac:dyDescent="0.25">
      <c r="A89" s="1" t="s">
        <v>31</v>
      </c>
      <c r="B89" s="1"/>
      <c r="C89" s="32" t="str">
        <f>IF(C83="",D82,D84)</f>
        <v/>
      </c>
      <c r="D89" s="28"/>
      <c r="E89" s="42"/>
      <c r="F89" s="32"/>
      <c r="G89" s="32"/>
      <c r="K89" s="27"/>
    </row>
    <row r="90" spans="1:11" s="2" customFormat="1" x14ac:dyDescent="0.25">
      <c r="A90" s="1"/>
      <c r="B90" s="1"/>
      <c r="C90" s="14"/>
      <c r="D90" s="28"/>
      <c r="K90" s="27"/>
    </row>
    <row r="91" spans="1:11" s="2" customFormat="1" x14ac:dyDescent="0.25">
      <c r="A91" s="1" t="s">
        <v>62</v>
      </c>
      <c r="B91" s="1"/>
      <c r="C91" s="42" t="str">
        <f>IF(C81="","",IF(ABS(C89)/D33&gt;10%,"JA","NEJ"))</f>
        <v/>
      </c>
      <c r="D91" s="77"/>
      <c r="K91" s="27"/>
    </row>
    <row r="92" spans="1:11" s="2" customFormat="1" x14ac:dyDescent="0.25">
      <c r="A92" s="1" t="s">
        <v>61</v>
      </c>
      <c r="B92" s="1"/>
      <c r="C92" s="32" t="str">
        <f>IF(C81="","",IF(AND(C91="JA",C89&gt;0),$D$33*10%,IF(AND(C91="JA",C89&lt;0),-$D$33*10%,0)))</f>
        <v/>
      </c>
      <c r="D92" s="28"/>
      <c r="K92" s="27"/>
    </row>
    <row r="93" spans="1:11" s="2" customFormat="1" x14ac:dyDescent="0.25">
      <c r="A93" s="1" t="s">
        <v>32</v>
      </c>
      <c r="B93" s="1"/>
      <c r="C93" s="32" t="str">
        <f>IF(C81="","",IF(C91="JA",(C89-C92)/2,0))</f>
        <v/>
      </c>
      <c r="D93" s="28"/>
      <c r="K93" s="27"/>
    </row>
    <row r="94" spans="1:11" s="2" customFormat="1" x14ac:dyDescent="0.25">
      <c r="A94" s="1"/>
      <c r="B94" s="1"/>
      <c r="C94" s="38"/>
      <c r="D94" s="28"/>
      <c r="K94" s="27"/>
    </row>
    <row r="95" spans="1:11" s="2" customFormat="1" x14ac:dyDescent="0.25">
      <c r="A95" s="1" t="s">
        <v>15</v>
      </c>
      <c r="B95" s="1"/>
      <c r="C95" s="8">
        <f>IF(C81="",0,IF(C91="Nej",D82,(C92+C93)))</f>
        <v>0</v>
      </c>
      <c r="D95" s="28"/>
      <c r="K95" s="27"/>
    </row>
    <row r="96" spans="1:11" s="2" customFormat="1" x14ac:dyDescent="0.25">
      <c r="A96" s="1"/>
      <c r="B96" s="1"/>
      <c r="C96" s="8"/>
      <c r="D96" s="3"/>
      <c r="K96" s="27"/>
    </row>
    <row r="97" spans="1:12" s="2" customFormat="1" x14ac:dyDescent="0.25">
      <c r="A97" s="43" t="s">
        <v>77</v>
      </c>
      <c r="C97" s="29"/>
      <c r="D97" s="28"/>
      <c r="K97" s="27"/>
    </row>
    <row r="98" spans="1:12" s="2" customFormat="1" x14ac:dyDescent="0.25">
      <c r="A98" s="2" t="s">
        <v>36</v>
      </c>
      <c r="B98" s="2" t="s">
        <v>27</v>
      </c>
      <c r="C98" s="58">
        <v>84000</v>
      </c>
      <c r="D98" s="28"/>
      <c r="K98" s="27"/>
    </row>
    <row r="99" spans="1:12" s="2" customFormat="1" x14ac:dyDescent="0.25">
      <c r="C99" s="29"/>
      <c r="D99" s="28"/>
      <c r="K99" s="27"/>
    </row>
    <row r="100" spans="1:12" s="2" customFormat="1" x14ac:dyDescent="0.25">
      <c r="A100" s="1" t="s">
        <v>40</v>
      </c>
      <c r="B100" s="1"/>
      <c r="C100" s="9">
        <f>IF(C98="","",ROUND(C98-C15,-3))</f>
        <v>-41000</v>
      </c>
      <c r="D100" s="28"/>
      <c r="K100" s="27"/>
    </row>
    <row r="101" spans="1:12" s="2" customFormat="1" x14ac:dyDescent="0.25">
      <c r="C101" s="29"/>
      <c r="D101" s="28"/>
      <c r="K101" s="27"/>
    </row>
    <row r="102" spans="1:12" s="2" customFormat="1" x14ac:dyDescent="0.25">
      <c r="A102" s="1" t="s">
        <v>65</v>
      </c>
      <c r="B102" s="1"/>
      <c r="C102" s="44" t="str">
        <f>IF(C100="","",IF(AND(C21&lt;121,ABS(C100)/ABS(C98)&gt;0.1),"JA",IF(AND(C21&gt;120,ABS(C100)/ABS(C98)&gt;0.33),"JA","NEJ")))</f>
        <v>JA</v>
      </c>
      <c r="D102" s="28"/>
      <c r="K102" s="27"/>
    </row>
    <row r="103" spans="1:12" x14ac:dyDescent="0.25">
      <c r="C103" s="25"/>
      <c r="D103" s="28"/>
    </row>
    <row r="104" spans="1:12" x14ac:dyDescent="0.25">
      <c r="A104" s="1" t="s">
        <v>31</v>
      </c>
      <c r="C104" s="35">
        <f>IF(C98="","",IF(AND(C102="JA",C21&lt;12),D33/100000*C100*C49,IF(AND(C102="JA",C21&lt;24),D33/100000*C100*C50,IF(AND(C102="JA",C21&lt;36),D33/100000*C100*C51,IF(C102="JA",D33/100000*C100*C52,0)))))</f>
        <v>-46977.8</v>
      </c>
      <c r="D104" s="28"/>
      <c r="L104" s="45"/>
    </row>
    <row r="105" spans="1:12" x14ac:dyDescent="0.25">
      <c r="C105" s="14"/>
      <c r="D105" s="28"/>
      <c r="L105" s="45"/>
    </row>
    <row r="106" spans="1:12" x14ac:dyDescent="0.25">
      <c r="A106" s="1" t="s">
        <v>62</v>
      </c>
      <c r="C106" s="36" t="str">
        <f>IF(C98="","",IF(ABS(C104)/D33&gt;10%,"JA","NEJ"))</f>
        <v>NEJ</v>
      </c>
      <c r="D106" s="28"/>
    </row>
    <row r="107" spans="1:12" x14ac:dyDescent="0.25">
      <c r="A107" s="1" t="s">
        <v>61</v>
      </c>
      <c r="C107" s="46">
        <f>IF(C98="","",IF(AND(C106="JA",C104&gt;0),$D$33*10%,IF(AND(C106="JA",C104&lt;0),-$D$33*10%,0)))</f>
        <v>0</v>
      </c>
      <c r="D107" s="28"/>
    </row>
    <row r="108" spans="1:12" x14ac:dyDescent="0.25">
      <c r="A108" s="1" t="s">
        <v>32</v>
      </c>
      <c r="C108" s="38">
        <f>IF(C98="","",IF(C106="JA",(C104-C107)/2,0))</f>
        <v>0</v>
      </c>
      <c r="D108" s="28"/>
    </row>
    <row r="109" spans="1:12" x14ac:dyDescent="0.25">
      <c r="C109" s="25"/>
      <c r="D109" s="28"/>
    </row>
    <row r="110" spans="1:12" x14ac:dyDescent="0.25">
      <c r="A110" s="1" t="s">
        <v>15</v>
      </c>
      <c r="C110" s="8">
        <f>IF(C98="",0,IF($C$21&gt;120,0,IF(C106="Nej",C104,(C107+C108))))</f>
        <v>-46977.8</v>
      </c>
      <c r="D110" s="28"/>
    </row>
    <row r="111" spans="1:12" x14ac:dyDescent="0.25">
      <c r="C111" s="8"/>
    </row>
    <row r="112" spans="1:12" x14ac:dyDescent="0.25">
      <c r="A112" s="21" t="s">
        <v>15</v>
      </c>
      <c r="B112" s="21"/>
      <c r="C112" s="47"/>
      <c r="D112" s="23">
        <f>ROUND(C74+C95+C110,-2)</f>
        <v>-47000</v>
      </c>
    </row>
    <row r="113" spans="1:12" x14ac:dyDescent="0.25">
      <c r="A113" s="11"/>
      <c r="B113" s="11"/>
      <c r="C113" s="3"/>
      <c r="D113" s="12"/>
    </row>
    <row r="114" spans="1:12" x14ac:dyDescent="0.25">
      <c r="A114" s="11"/>
      <c r="B114" s="11"/>
      <c r="C114" s="3"/>
      <c r="D114" s="12"/>
    </row>
    <row r="116" spans="1:12" x14ac:dyDescent="0.25">
      <c r="A116" s="81" t="s">
        <v>24</v>
      </c>
      <c r="B116" s="81"/>
      <c r="C116"/>
      <c r="D116"/>
    </row>
    <row r="117" spans="1:12" x14ac:dyDescent="0.25">
      <c r="A117" t="s">
        <v>20</v>
      </c>
      <c r="B117"/>
      <c r="C117" s="82">
        <v>50000</v>
      </c>
      <c r="D117" s="83"/>
    </row>
    <row r="118" spans="1:12" x14ac:dyDescent="0.25">
      <c r="A118" t="s">
        <v>20</v>
      </c>
      <c r="B118"/>
      <c r="C118" s="82"/>
      <c r="D118"/>
    </row>
    <row r="119" spans="1:12" x14ac:dyDescent="0.25">
      <c r="A119" t="s">
        <v>20</v>
      </c>
      <c r="B119"/>
      <c r="C119" s="82"/>
      <c r="D119"/>
    </row>
    <row r="120" spans="1:12" x14ac:dyDescent="0.25">
      <c r="A120" t="s">
        <v>20</v>
      </c>
      <c r="B120"/>
      <c r="C120" s="82"/>
      <c r="D120"/>
    </row>
    <row r="121" spans="1:12" x14ac:dyDescent="0.25">
      <c r="A121" t="s">
        <v>20</v>
      </c>
      <c r="B121"/>
      <c r="C121" s="82"/>
      <c r="D121"/>
    </row>
    <row r="122" spans="1:12" x14ac:dyDescent="0.25">
      <c r="A122" t="s">
        <v>58</v>
      </c>
      <c r="B122"/>
      <c r="C122" s="84">
        <f>SUM(C117:C121)</f>
        <v>50000</v>
      </c>
      <c r="D122"/>
    </row>
    <row r="123" spans="1:12" x14ac:dyDescent="0.25">
      <c r="A123" s="81"/>
      <c r="B123" s="81"/>
      <c r="C123"/>
      <c r="D123"/>
    </row>
    <row r="124" spans="1:12" x14ac:dyDescent="0.25">
      <c r="A124" s="85" t="s">
        <v>46</v>
      </c>
      <c r="B124" s="81"/>
      <c r="C124"/>
      <c r="D124" s="80">
        <f>IF(C21&lt;12,C122-(100%-C125)/12*C21*C122,0)</f>
        <v>0</v>
      </c>
    </row>
    <row r="125" spans="1:12" x14ac:dyDescent="0.25">
      <c r="A125" t="s">
        <v>47</v>
      </c>
      <c r="B125" s="81"/>
      <c r="C125" s="86">
        <v>0.7</v>
      </c>
      <c r="D125" s="80">
        <f>IF(AND(11&lt;C21,C21&lt;24),C122*(C125-((C125-C126)/12)*(C21-12)),0)</f>
        <v>0</v>
      </c>
      <c r="L125" s="48"/>
    </row>
    <row r="126" spans="1:12" x14ac:dyDescent="0.25">
      <c r="A126" t="s">
        <v>48</v>
      </c>
      <c r="B126" s="81"/>
      <c r="C126" s="86">
        <v>0.56999999999999995</v>
      </c>
      <c r="D126" s="80">
        <f>IF(AND(23&lt;C21,C21&lt;36),C122*(C126-((C126-C127)/12)*(C21-24)),0)</f>
        <v>0</v>
      </c>
    </row>
    <row r="127" spans="1:12" x14ac:dyDescent="0.25">
      <c r="A127" t="s">
        <v>49</v>
      </c>
      <c r="B127"/>
      <c r="C127" s="86">
        <v>0.45</v>
      </c>
      <c r="D127" s="80">
        <f>IF(AND(35&lt;$C$21,$C$21&lt;48),$C$122*(C127-((C127-C128)/12)*($C$21-36)),0)</f>
        <v>0</v>
      </c>
    </row>
    <row r="128" spans="1:12" x14ac:dyDescent="0.25">
      <c r="A128" t="s">
        <v>50</v>
      </c>
      <c r="B128"/>
      <c r="C128" s="86">
        <v>0.33</v>
      </c>
      <c r="D128" s="80">
        <f>IF(AND(47&lt;$C$21,$C$21&lt;60),$C$122*(C128-((C128-C129)/12)*($C$21-48)),0)</f>
        <v>10541.666666666668</v>
      </c>
    </row>
    <row r="129" spans="1:11" x14ac:dyDescent="0.25">
      <c r="A129" t="s">
        <v>51</v>
      </c>
      <c r="B129"/>
      <c r="C129" s="86">
        <v>0.2</v>
      </c>
      <c r="D129" s="80">
        <f>IF(AND(59&lt;$C$21,$C$21&lt;72),$C$122*(C129-((C129-C130)/12)*($C$21-60)),0)</f>
        <v>0</v>
      </c>
    </row>
    <row r="130" spans="1:11" x14ac:dyDescent="0.25">
      <c r="A130" t="s">
        <v>52</v>
      </c>
      <c r="B130"/>
      <c r="C130" s="86">
        <v>0.15</v>
      </c>
      <c r="D130" s="80">
        <f>IF(AND(71&lt;C21,C121&lt;84),C122*(C130-((C130-C131)/12)*(C21-72)),0)</f>
        <v>0</v>
      </c>
      <c r="G130" s="49"/>
    </row>
    <row r="131" spans="1:11" x14ac:dyDescent="0.25">
      <c r="A131" t="s">
        <v>53</v>
      </c>
      <c r="B131"/>
      <c r="C131" s="86">
        <v>0.1</v>
      </c>
      <c r="D131" s="80">
        <f>IF(AND(83&lt;C21,C21&lt;96),C122*(C131-((C131-C132)/12)*(C21-84)),0)</f>
        <v>0</v>
      </c>
    </row>
    <row r="132" spans="1:11" x14ac:dyDescent="0.25">
      <c r="A132" t="s">
        <v>54</v>
      </c>
      <c r="B132"/>
      <c r="C132" s="86">
        <v>0</v>
      </c>
      <c r="D132" s="79"/>
    </row>
    <row r="133" spans="1:11" x14ac:dyDescent="0.25">
      <c r="A133"/>
      <c r="B133"/>
      <c r="C133"/>
      <c r="D133" s="79"/>
    </row>
    <row r="134" spans="1:11" x14ac:dyDescent="0.25">
      <c r="A134"/>
      <c r="B134"/>
      <c r="C134" s="87"/>
      <c r="D134" s="88"/>
    </row>
    <row r="135" spans="1:11" x14ac:dyDescent="0.25">
      <c r="A135"/>
      <c r="B135"/>
      <c r="C135"/>
      <c r="D135" s="88"/>
    </row>
    <row r="136" spans="1:11" x14ac:dyDescent="0.25">
      <c r="A136" s="89" t="s">
        <v>21</v>
      </c>
      <c r="B136" s="89"/>
      <c r="C136" s="90"/>
      <c r="D136" s="91">
        <f>ROUND(SUM(D124:D132),-2)</f>
        <v>10500</v>
      </c>
      <c r="E136" s="4"/>
      <c r="K136" s="71"/>
    </row>
    <row r="137" spans="1:11" x14ac:dyDescent="0.25">
      <c r="A137"/>
      <c r="B137"/>
      <c r="C137"/>
      <c r="D137"/>
    </row>
    <row r="140" spans="1:11" x14ac:dyDescent="0.25">
      <c r="A140" s="11" t="s">
        <v>25</v>
      </c>
      <c r="B140" s="11"/>
    </row>
    <row r="141" spans="1:11" x14ac:dyDescent="0.25">
      <c r="A141" s="1" t="s">
        <v>75</v>
      </c>
      <c r="B141" s="73" t="s">
        <v>73</v>
      </c>
    </row>
    <row r="143" spans="1:11" x14ac:dyDescent="0.25">
      <c r="A143" s="1" t="s">
        <v>66</v>
      </c>
      <c r="C143" s="50">
        <f>ROUND(IF(OR(B141="Nej",C21&lt;6),0,-D33*5%),-2)</f>
        <v>-33700</v>
      </c>
    </row>
    <row r="145" spans="1:10" x14ac:dyDescent="0.25">
      <c r="A145" s="21" t="s">
        <v>26</v>
      </c>
      <c r="B145" s="21"/>
      <c r="C145" s="21"/>
      <c r="D145" s="23">
        <f>IF(ABS(C143)+ABS(D43)&gt;19999,-20000-D43,C143)</f>
        <v>-12000</v>
      </c>
    </row>
    <row r="150" spans="1:10" ht="19.5" thickBot="1" x14ac:dyDescent="0.35">
      <c r="A150" s="66" t="s">
        <v>67</v>
      </c>
      <c r="B150" s="66"/>
      <c r="C150" s="67"/>
      <c r="D150" s="68">
        <f>ROUND(D33+D43+D112+D136+D145,-2)</f>
        <v>617500</v>
      </c>
    </row>
    <row r="151" spans="1:10" x14ac:dyDescent="0.25">
      <c r="A151" s="5"/>
      <c r="B151" s="5"/>
      <c r="C151" s="5"/>
      <c r="D151" s="64"/>
      <c r="E151" s="5"/>
      <c r="F151" s="5"/>
      <c r="G151" s="5"/>
      <c r="H151" s="5"/>
      <c r="I151" s="5"/>
      <c r="J151" s="5"/>
    </row>
  </sheetData>
  <mergeCells count="4">
    <mergeCell ref="A10:I10"/>
    <mergeCell ref="A36:I36"/>
    <mergeCell ref="A55:C55"/>
    <mergeCell ref="A76:C76"/>
  </mergeCells>
  <dataValidations count="3">
    <dataValidation type="list" allowBlank="1" showInputMessage="1" showErrorMessage="1" sqref="C38" xr:uid="{25B809D3-6690-4CDD-8F3B-CC54387464B2}">
      <formula1>Stand</formula1>
    </dataValidation>
    <dataValidation type="list" allowBlank="1" showInputMessage="1" showErrorMessage="1" sqref="C27" xr:uid="{0100ED4E-6288-4FCA-88BB-A6E7B1D97705}">
      <formula1>Handelspris_metode</formula1>
    </dataValidation>
    <dataValidation type="list" allowBlank="1" showInputMessage="1" showErrorMessage="1" sqref="B141" xr:uid="{2BB09981-22B0-4CF2-860A-2865B205BF8D}">
      <formula1>Ja_Nej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3A19528-E549-4053-A44F-02ED08D589FA}">
            <xm:f>IF(AND($C$16=Opslag!$A$2,OR($C$27=Opslag!$C$1,$C$27=Opslag!$C$3)),FALSE(),TRUE())</xm:f>
            <x14:dxf>
              <font>
                <color theme="0" tint="-0.24994659260841701"/>
              </font>
              <fill>
                <patternFill patternType="lightDown">
                  <fgColor theme="0" tint="-0.14996795556505021"/>
                  <bgColor auto="1"/>
                </patternFill>
              </fill>
            </x14:dxf>
          </x14:cfRule>
          <xm:sqref>A55:C74</xm:sqref>
        </x14:conditionalFormatting>
        <x14:conditionalFormatting xmlns:xm="http://schemas.microsoft.com/office/excel/2006/main">
          <x14:cfRule type="expression" priority="2" id="{0A5752FC-0D7D-4059-B4A0-FD2993472C6F}">
            <xm:f>IF(AND($C$16=Opslag!$A$1,OR($C$27=Opslag!$C$1,$C$27=Opslag!$C$3)),FALSE(),TRUE())</xm:f>
            <x14:dxf>
              <font>
                <color theme="0" tint="-0.24994659260841701"/>
              </font>
              <fill>
                <patternFill patternType="lightDown">
                  <fgColor theme="0" tint="-0.14993743705557422"/>
                  <bgColor auto="1"/>
                </patternFill>
              </fill>
            </x14:dxf>
          </x14:cfRule>
          <xm:sqref>A76:C95</xm:sqref>
        </x14:conditionalFormatting>
        <x14:conditionalFormatting xmlns:xm="http://schemas.microsoft.com/office/excel/2006/main">
          <x14:cfRule type="expression" priority="1" id="{E3F27FF9-C870-4574-8327-0AB609BDEB75}">
            <xm:f>IF($C$27=Opslag!$C$2,FALSE(),TRUE())</xm:f>
            <x14:dxf>
              <font>
                <color theme="0" tint="-0.24994659260841701"/>
              </font>
              <fill>
                <patternFill patternType="lightDown">
                  <fgColor theme="0" tint="-0.14996795556505021"/>
                  <bgColor auto="1"/>
                </patternFill>
              </fill>
            </x14:dxf>
          </x14:cfRule>
          <xm:sqref>A97:C110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Opslag!$A$1:$A$2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5454-7E2E-4697-B33D-54A8CC4BFC5A}">
  <dimension ref="A1:C20"/>
  <sheetViews>
    <sheetView workbookViewId="0">
      <selection sqref="A1:C1"/>
    </sheetView>
  </sheetViews>
  <sheetFormatPr defaultRowHeight="15" x14ac:dyDescent="0.25"/>
  <cols>
    <col min="3" max="3" width="23.42578125" customWidth="1"/>
  </cols>
  <sheetData>
    <row r="1" spans="1:3" x14ac:dyDescent="0.25">
      <c r="A1" s="93"/>
      <c r="B1" s="93"/>
      <c r="C1" s="93"/>
    </row>
    <row r="2" spans="1:3" x14ac:dyDescent="0.25">
      <c r="A2" s="26"/>
      <c r="B2" s="2"/>
      <c r="C2" s="27"/>
    </row>
    <row r="3" spans="1:3" x14ac:dyDescent="0.25">
      <c r="A3" s="2"/>
      <c r="B3" s="2"/>
      <c r="C3" s="29"/>
    </row>
    <row r="4" spans="1:3" x14ac:dyDescent="0.25">
      <c r="A4" s="2"/>
      <c r="B4" s="2"/>
      <c r="C4" s="29"/>
    </row>
    <row r="5" spans="1:3" x14ac:dyDescent="0.25">
      <c r="A5" s="2"/>
      <c r="B5" s="2"/>
      <c r="C5" s="2"/>
    </row>
    <row r="6" spans="1:3" x14ac:dyDescent="0.25">
      <c r="A6" s="2"/>
      <c r="B6" s="2"/>
      <c r="C6" s="29"/>
    </row>
    <row r="7" spans="1:3" x14ac:dyDescent="0.25">
      <c r="A7" s="2"/>
      <c r="B7" s="2"/>
      <c r="C7" s="29"/>
    </row>
    <row r="8" spans="1:3" x14ac:dyDescent="0.25">
      <c r="A8" s="2"/>
      <c r="B8" s="2"/>
      <c r="C8" s="58"/>
    </row>
    <row r="9" spans="1:3" x14ac:dyDescent="0.25">
      <c r="A9" s="2"/>
      <c r="B9" s="2"/>
      <c r="C9" s="29"/>
    </row>
    <row r="10" spans="1:3" x14ac:dyDescent="0.25">
      <c r="A10" s="1"/>
      <c r="B10" s="2"/>
      <c r="C10" s="32"/>
    </row>
    <row r="11" spans="1:3" x14ac:dyDescent="0.25">
      <c r="A11" s="1"/>
      <c r="B11" s="2"/>
      <c r="C11" s="29"/>
    </row>
    <row r="12" spans="1:3" x14ac:dyDescent="0.25">
      <c r="A12" s="1"/>
      <c r="B12" s="2"/>
      <c r="C12" s="33"/>
    </row>
    <row r="13" spans="1:3" x14ac:dyDescent="0.25">
      <c r="A13" s="1"/>
      <c r="B13" s="2"/>
      <c r="C13" s="34"/>
    </row>
    <row r="14" spans="1:3" x14ac:dyDescent="0.25">
      <c r="A14" s="1"/>
      <c r="B14" s="1"/>
      <c r="C14" s="35"/>
    </row>
    <row r="15" spans="1:3" x14ac:dyDescent="0.25">
      <c r="A15" s="1"/>
      <c r="B15" s="1"/>
      <c r="C15" s="14"/>
    </row>
    <row r="16" spans="1:3" x14ac:dyDescent="0.25">
      <c r="A16" s="1"/>
      <c r="B16" s="1"/>
      <c r="C16" s="36"/>
    </row>
    <row r="17" spans="1:3" x14ac:dyDescent="0.25">
      <c r="A17" s="1"/>
      <c r="B17" s="1"/>
      <c r="C17" s="37"/>
    </row>
    <row r="18" spans="1:3" x14ac:dyDescent="0.25">
      <c r="A18" s="1"/>
      <c r="B18" s="1"/>
      <c r="C18" s="32"/>
    </row>
    <row r="19" spans="1:3" x14ac:dyDescent="0.25">
      <c r="A19" s="1"/>
      <c r="B19" s="1"/>
      <c r="C19" s="38"/>
    </row>
    <row r="20" spans="1:3" x14ac:dyDescent="0.25">
      <c r="A20" s="1"/>
      <c r="B20" s="1"/>
      <c r="C20" s="8"/>
    </row>
  </sheetData>
  <mergeCells count="1">
    <mergeCell ref="A1:C1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AC9C3B0-AC83-48BD-A656-A2AA46E75E0A}">
            <xm:f>IF(AND($C$16=Opslag!$A$2,OR($C$27=Opslag!$C$1,$C$27=Opslag!$C$3)),FALSE(),TRUE())</xm:f>
            <x14:dxf>
              <font>
                <color theme="0" tint="-0.24994659260841701"/>
              </font>
              <fill>
                <patternFill patternType="lightDown">
                  <fgColor theme="0" tint="-0.14996795556505021"/>
                  <bgColor auto="1"/>
                </patternFill>
              </fill>
            </x14:dxf>
          </x14:cfRule>
          <xm:sqref>A1:C20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"/>
  <sheetViews>
    <sheetView workbookViewId="0">
      <selection activeCell="I2" sqref="I1:I2"/>
    </sheetView>
  </sheetViews>
  <sheetFormatPr defaultRowHeight="15" x14ac:dyDescent="0.25"/>
  <sheetData>
    <row r="1" spans="1:9" x14ac:dyDescent="0.25">
      <c r="A1" t="s">
        <v>59</v>
      </c>
      <c r="C1" t="s">
        <v>69</v>
      </c>
      <c r="E1" t="s">
        <v>29</v>
      </c>
      <c r="I1" t="s">
        <v>73</v>
      </c>
    </row>
    <row r="2" spans="1:9" x14ac:dyDescent="0.25">
      <c r="A2" t="s">
        <v>60</v>
      </c>
      <c r="C2" t="s">
        <v>70</v>
      </c>
      <c r="E2" t="s">
        <v>28</v>
      </c>
      <c r="I2" t="s">
        <v>74</v>
      </c>
    </row>
    <row r="3" spans="1:9" x14ac:dyDescent="0.25">
      <c r="C3" t="s">
        <v>71</v>
      </c>
      <c r="E3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BD8A5019B7484191C6D027FAF12D3A" ma:contentTypeVersion="17" ma:contentTypeDescription="Opret et nyt dokument." ma:contentTypeScope="" ma:versionID="4bdc88018b82f8d6dade8e5bea005769">
  <xsd:schema xmlns:xsd="http://www.w3.org/2001/XMLSchema" xmlns:xs="http://www.w3.org/2001/XMLSchema" xmlns:p="http://schemas.microsoft.com/office/2006/metadata/properties" xmlns:ns2="0081a2f5-02cd-4e59-9eac-a11a1826dedf" xmlns:ns3="61e3e15e-0b10-4a4f-a1f0-41e58209684b" targetNamespace="http://schemas.microsoft.com/office/2006/metadata/properties" ma:root="true" ma:fieldsID="3924108862bd7e5724e4ad9c071430b4" ns2:_="" ns3:_="">
    <xsd:import namespace="0081a2f5-02cd-4e59-9eac-a11a1826dedf"/>
    <xsd:import namespace="61e3e15e-0b10-4a4f-a1f0-41e5820968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1a2f5-02cd-4e59-9eac-a11a1826d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766a7c6-636e-426b-a350-c5f08af97e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3e15e-0b10-4a4f-a1f0-41e5820968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c733c-de51-4842-9a61-6e074b523af9}" ma:internalName="TaxCatchAll" ma:showField="CatchAllData" ma:web="61e3e15e-0b10-4a4f-a1f0-41e582096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01E104-6390-4F29-841F-BA523F9E7EA9}"/>
</file>

<file path=customXml/itemProps2.xml><?xml version="1.0" encoding="utf-8"?>
<ds:datastoreItem xmlns:ds="http://schemas.openxmlformats.org/officeDocument/2006/customXml" ds:itemID="{8D849CF3-E32E-4304-8AAD-784650D9F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Beregner</vt:lpstr>
      <vt:lpstr>Ark1</vt:lpstr>
      <vt:lpstr>Opslag</vt:lpstr>
      <vt:lpstr>Handelspris_metode</vt:lpstr>
      <vt:lpstr>Ja_Nej</vt:lpstr>
      <vt:lpstr>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Thomsen</dc:creator>
  <cp:lastModifiedBy>Kristine Holmgaard Eriksen</cp:lastModifiedBy>
  <dcterms:created xsi:type="dcterms:W3CDTF">2017-12-19T08:05:02Z</dcterms:created>
  <dcterms:modified xsi:type="dcterms:W3CDTF">2021-08-30T09:41:13Z</dcterms:modified>
</cp:coreProperties>
</file>